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kl\Desktop\"/>
    </mc:Choice>
  </mc:AlternateContent>
  <xr:revisionPtr revIDLastSave="0" documentId="8_{16886A85-2FB7-4D14-BB81-04B78D6934E2}" xr6:coauthVersionLast="36" xr6:coauthVersionMax="36" xr10:uidLastSave="{00000000-0000-0000-0000-000000000000}"/>
  <bookViews>
    <workbookView xWindow="-120" yWindow="-120" windowWidth="25440" windowHeight="1539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J21" i="18" l="1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<sst xmlns="http://schemas.openxmlformats.org/spreadsheetml/2006/main" count="1397" uniqueCount="680">
  <si>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</si>
  <si>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</si>
  <si>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</si>
  <si>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</si>
  <si>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</si>
  <si>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</si>
  <si>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</si>
  <si>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</si>
  <si>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</si>
  <si>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</si>
  <si>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</si>
  <si>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</si>
  <si>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</si>
  <si>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</si>
  <si>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</si>
  <si>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</si>
  <si>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</si>
  <si>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</si>
  <si>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</si>
  <si>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</si>
  <si>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</si>
  <si>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</si>
  <si>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</si>
  <si>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</si>
  <si>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</si>
  <si>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</si>
  <si>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</si>
  <si>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</si>
  <si>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</si>
  <si>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</si>
  <si>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</si>
  <si>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</si>
  <si>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</si>
  <si>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</si>
  <si>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</si>
  <si>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</si>
  <si>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</si>
  <si>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</si>
  <si>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</si>
  <si>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</si>
  <si>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</si>
  <si>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</si>
  <si>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</si>
  <si>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</si>
  <si>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</si>
  <si>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</si>
  <si>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</si>
  <si>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</si>
  <si>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</si>
  <si>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</si>
  <si>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</si>
  <si>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</si>
  <si>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</si>
  <si>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</si>
  <si>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</si>
  <si>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</si>
  <si>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</si>
  <si>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</si>
  <si>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</si>
  <si>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</si>
  <si>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</si>
  <si>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</si>
  <si>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</si>
  <si>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</si>
  <si>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</si>
  <si>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</si>
  <si>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</si>
  <si>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</si>
  <si>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</si>
  <si>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</si>
  <si>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</si>
  <si>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</si>
  <si>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</si>
  <si>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</si>
  <si>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</si>
  <si>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</si>
  <si>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</si>
  <si>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</si>
  <si>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</si>
  <si>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</si>
  <si>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</si>
  <si>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</si>
  <si>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</si>
  <si>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</si>
  <si>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</si>
  <si>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</si>
  <si>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</si>
  <si>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</si>
  <si>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</si>
  <si>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</si>
  <si>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</si>
  <si>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</si>
  <si>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</si>
  <si>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</si>
  <si>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</si>
  <si>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</si>
  <si>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</si>
  <si>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</si>
  <si>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</si>
  <si>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</si>
  <si>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</si>
  <si>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</si>
  <si>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</si>
  <si>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</si>
  <si>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</si>
  <si>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</si>
  <si>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</si>
  <si>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</si>
  <si>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</si>
  <si>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</si>
  <si>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</si>
  <si>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</si>
  <si>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</si>
  <si>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</si>
  <si>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</si>
  <si>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</si>
  <si>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</si>
  <si>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</si>
  <si>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</si>
  <si>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</si>
  <si>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</si>
  <si>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</si>
  <si>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</si>
  <si>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</si>
  <si>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</si>
  <si>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</si>
  <si>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</si>
  <si>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</si>
  <si>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</si>
  <si>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</si>
  <si>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</si>
  <si>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</si>
  <si>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</si>
  <si>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</si>
  <si>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</si>
  <si>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</si>
  <si>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</si>
  <si>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</si>
  <si>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</si>
  <si>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</si>
  <si>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</si>
  <si>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</si>
  <si>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</si>
  <si>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</si>
  <si>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</si>
  <si>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</si>
  <si>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</si>
  <si>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</si>
  <si>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</si>
  <si>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</si>
  <si>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</si>
  <si>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</si>
  <si>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</si>
  <si>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</si>
  <si>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</si>
  <si>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</si>
  <si>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</si>
  <si>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</si>
  <si>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</si>
  <si>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</si>
  <si>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</si>
  <si>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</si>
  <si>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</si>
  <si>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</si>
  <si>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</si>
  <si>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</si>
  <si>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</si>
  <si>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</si>
  <si>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</si>
  <si>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</si>
  <si>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</si>
  <si>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</si>
  <si>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</si>
  <si>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</si>
  <si>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</si>
  <si>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</si>
  <si>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</si>
  <si>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</si>
  <si>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</si>
  <si>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</si>
  <si>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</si>
  <si>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</si>
  <si>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</si>
  <si>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</si>
  <si>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</si>
  <si>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</si>
  <si>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</si>
  <si>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</si>
  <si>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</si>
  <si>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</si>
  <si>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</si>
  <si>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</si>
  <si>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</si>
  <si>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</si>
  <si>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</si>
  <si>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</si>
  <si>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</si>
  <si>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</si>
  <si>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</si>
  <si>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</si>
  <si>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</si>
  <si>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</si>
  <si>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</si>
  <si>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</si>
  <si>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</si>
  <si>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</si>
  <si>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</si>
  <si>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</si>
  <si>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</si>
  <si>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</si>
  <si>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</si>
  <si>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</si>
  <si>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</si>
  <si>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</si>
  <si>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</si>
  <si>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</si>
  <si>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</si>
  <si>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</si>
  <si>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</si>
  <si>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</si>
  <si>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</si>
  <si>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</si>
  <si>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</si>
  <si>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</si>
  <si>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</si>
  <si>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</si>
  <si>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</si>
  <si>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</si>
  <si>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</si>
  <si>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</si>
  <si>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</si>
  <si>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</si>
  <si>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</si>
  <si>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</si>
  <si>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</si>
  <si>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</si>
  <si>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</si>
  <si>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</si>
  <si>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</si>
  <si>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</si>
  <si>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</si>
  <si>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</si>
  <si>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</si>
  <si>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</si>
  <si>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</si>
  <si>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</si>
  <si>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</si>
  <si>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</si>
  <si>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</si>
  <si>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</si>
  <si>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</si>
  <si>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</si>
  <si>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</si>
  <si>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</si>
  <si>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</si>
  <si>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</si>
  <si>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</si>
  <si>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</si>
  <si>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</si>
  <si>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</si>
  <si>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</si>
  <si>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</si>
  <si>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</si>
  <si>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</si>
  <si>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</si>
  <si>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</si>
  <si>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</si>
  <si>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</si>
  <si>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</si>
  <si>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</si>
  <si>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</si>
  <si>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</si>
  <si>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</si>
  <si>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</si>
  <si>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</si>
  <si>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</si>
  <si>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</si>
  <si>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</si>
  <si>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</si>
  <si>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</si>
  <si>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</si>
  <si>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</si>
  <si>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</si>
  <si>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</si>
  <si>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</si>
  <si>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</si>
  <si>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</si>
  <si>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</si>
  <si>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</si>
  <si>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</si>
  <si>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</si>
  <si>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</si>
  <si>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</si>
  <si>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</si>
  <si>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</si>
  <si>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</si>
  <si>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</si>
  <si>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</si>
  <si>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</si>
  <si>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</si>
  <si>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</si>
  <si>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</si>
  <si>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</si>
  <si>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</si>
  <si>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</si>
  <si>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</si>
  <si>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</si>
  <si>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</si>
  <si>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</si>
  <si>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</si>
  <si>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</si>
  <si>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</si>
  <si>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</si>
  <si>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</si>
  <si>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</si>
  <si>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</si>
  <si>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</si>
  <si>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</si>
  <si>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</si>
  <si>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</si>
  <si>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</si>
  <si>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</si>
  <si>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</si>
  <si>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</si>
  <si>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</si>
  <si>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</si>
  <si>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</si>
  <si>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</si>
  <si>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</si>
  <si>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</si>
  <si>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</si>
  <si>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</si>
  <si>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</si>
  <si>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</si>
  <si>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</si>
  <si>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</si>
  <si>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</si>
  <si>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</si>
  <si>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</si>
  <si>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</si>
  <si>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</si>
  <si>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</si>
  <si>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</si>
  <si>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</si>
  <si>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</si>
  <si>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</si>
  <si>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</si>
  <si>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</si>
  <si>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</si>
  <si>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</si>
  <si>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</si>
  <si>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</si>
  <si>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</si>
  <si>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</si>
  <si>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</si>
  <si>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</si>
  <si>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</si>
  <si>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</si>
  <si>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</si>
  <si>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</si>
  <si>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</si>
  <si>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</si>
  <si>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</si>
  <si>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</si>
  <si>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</si>
  <si>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</si>
  <si>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</si>
  <si>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</si>
  <si>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</si>
  <si>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</si>
  <si>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</si>
  <si>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</si>
  <si>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</si>
  <si>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</si>
  <si>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</si>
  <si>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</si>
  <si>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</si>
  <si>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</si>
  <si>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</si>
  <si>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</si>
  <si>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</si>
  <si>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</si>
  <si>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</si>
  <si>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</si>
  <si>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</si>
  <si>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</si>
  <si>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</si>
  <si>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</si>
  <si>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</si>
  <si>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</si>
  <si>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</si>
  <si>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</si>
  <si>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</si>
  <si>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</si>
  <si>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</si>
  <si>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</si>
  <si>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</si>
  <si>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</si>
  <si>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</si>
  <si>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</si>
  <si>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</si>
  <si>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</si>
  <si>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</si>
  <si>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</si>
  <si>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</si>
  <si>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</si>
  <si>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</si>
  <si>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</si>
  <si>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</si>
  <si>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</si>
  <si>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</si>
  <si>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</si>
  <si>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</si>
  <si>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</si>
  <si>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</si>
  <si>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</si>
  <si>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</si>
  <si>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</si>
  <si>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</si>
  <si>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</si>
  <si>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</si>
  <si>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</si>
  <si>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</si>
  <si>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</si>
  <si>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</si>
  <si>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</si>
  <si>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</si>
  <si>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</si>
  <si>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</si>
  <si>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</si>
  <si>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</si>
  <si>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</si>
  <si>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</si>
  <si>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</si>
  <si>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</si>
  <si>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</si>
  <si>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</si>
  <si>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</si>
  <si>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</si>
  <si>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</si>
  <si>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</si>
  <si>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</si>
  <si>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</si>
  <si>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</si>
  <si>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</si>
  <si>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</si>
  <si>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</si>
  <si>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</si>
  <si>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</si>
  <si>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</si>
  <si>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</si>
  <si>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</si>
  <si>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</si>
  <si>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</si>
  <si>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</si>
  <si>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</si>
  <si>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</si>
  <si>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</si>
  <si>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</si>
  <si>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</si>
  <si>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</si>
  <si>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</si>
  <si>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</si>
  <si>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</si>
  <si>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</si>
  <si>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</si>
  <si>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</si>
  <si>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</si>
  <si>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</si>
  <si>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</si>
  <si>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</si>
  <si>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</si>
  <si>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</si>
  <si>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</si>
  <si>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</si>
  <si>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</si>
  <si>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</si>
  <si>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</si>
  <si>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</si>
  <si>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</si>
  <si>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</si>
  <si>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</si>
  <si>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</si>
  <si>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</si>
  <si>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</si>
  <si>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</si>
  <si>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</si>
  <si>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</si>
  <si>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</si>
  <si>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</si>
  <si>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</si>
  <si>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</si>
  <si>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</si>
  <si>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</si>
  <si>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</si>
  <si>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</si>
  <si>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</si>
  <si>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</si>
  <si>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</si>
  <si>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</si>
  <si>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</si>
  <si>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</si>
  <si>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</si>
  <si>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</si>
  <si>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</si>
  <si>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</si>
  <si>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</si>
  <si>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</si>
  <si>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</si>
  <si>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</si>
  <si>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</si>
  <si>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</si>
  <si>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</si>
  <si>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</si>
  <si>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</si>
  <si>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</si>
  <si>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</si>
  <si>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</si>
  <si>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</si>
  <si>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</si>
  <si>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</si>
  <si>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</si>
  <si>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</si>
  <si>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</si>
  <si>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</si>
  <si>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</si>
  <si>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</si>
  <si>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</si>
  <si>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</si>
  <si>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</si>
  <si>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</si>
  <si>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</si>
  <si>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</si>
  <si>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</si>
  <si>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</si>
  <si>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</si>
  <si>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</si>
  <si>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</si>
  <si>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</si>
  <si>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</si>
  <si>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</si>
  <si>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</si>
  <si>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</si>
  <si>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</si>
  <si>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</si>
  <si>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</si>
  <si>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</si>
  <si>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</si>
  <si>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</si>
  <si>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</si>
  <si>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</si>
  <si>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</si>
  <si>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</si>
  <si>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</si>
  <si>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</si>
  <si>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</si>
  <si>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</si>
  <si>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</si>
  <si>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</si>
  <si>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</si>
  <si>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</si>
  <si>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</si>
  <si>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</si>
  <si>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</si>
  <si>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</si>
  <si>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</si>
  <si>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</si>
  <si>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</si>
  <si>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</si>
  <si>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</si>
  <si>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</si>
  <si>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</si>
  <si>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</si>
  <si>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</si>
  <si>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</si>
  <si>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</si>
  <si>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</si>
  <si>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</si>
  <si>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</si>
  <si>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</si>
  <si>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</si>
  <si>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</si>
  <si>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</si>
  <si>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</si>
  <si>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</si>
  <si>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</si>
  <si>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</si>
  <si>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</si>
  <si>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</si>
  <si>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</si>
  <si>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</si>
  <si>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</si>
  <si>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</si>
  <si>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</si>
  <si>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</si>
  <si>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</si>
  <si>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</si>
  <si>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</si>
  <si>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</si>
  <si>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</si>
  <si>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</si>
  <si>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</si>
  <si>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</si>
  <si>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</si>
  <si>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</si>
  <si>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</si>
  <si>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</si>
  <si>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</si>
  <si>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</si>
  <si>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</si>
  <si>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</si>
  <si>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</si>
  <si>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</si>
  <si>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</si>
  <si>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</si>
  <si>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</si>
  <si>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</si>
  <si>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</si>
  <si>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</si>
  <si>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</si>
  <si>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</si>
  <si>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</si>
  <si>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</si>
  <si>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</si>
  <si>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</si>
  <si>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</si>
  <si>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</si>
  <si>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</si>
  <si>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</si>
  <si>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</si>
  <si>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</si>
  <si>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</si>
  <si>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</si>
  <si>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</si>
  <si>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</si>
  <si>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</si>
  <si>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</si>
  <si>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</si>
  <si>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</si>
  <si>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</si>
  <si>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</si>
  <si>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</si>
  <si>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</si>
  <si>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</si>
  <si>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</si>
  <si>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</si>
  <si>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</si>
  <si>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</si>
  <si>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</si>
  <si>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</si>
  <si>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</si>
  <si>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</si>
  <si>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</si>
  <si>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</si>
  <si>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</si>
  <si>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</si>
  <si>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</si>
  <si>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</si>
  <si>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</si>
  <si>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Saarbrücker Straße 195</t>
  </si>
  <si>
    <t>Bous</t>
  </si>
  <si>
    <t>Dillingen/Saar</t>
  </si>
  <si>
    <t>06834-85137</t>
  </si>
  <si>
    <t>DE_GBA03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</si>
  <si>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</si>
  <si>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</si>
  <si>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</si>
  <si>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</si>
  <si>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</si>
  <si>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</si>
  <si>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</si>
  <si>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</si>
  <si>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</si>
  <si>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DE_GBD03</t>
  </si>
  <si>
    <t>DE_GHD03</t>
  </si>
  <si>
    <t xml:space="preserve">GWBS Netzgesellschaft mbH </t>
  </si>
  <si>
    <t>GWBS Netzgesellschaft</t>
  </si>
  <si>
    <t>Jürgen Welter</t>
  </si>
  <si>
    <t>j.welter@gwbs.de</t>
  </si>
  <si>
    <t>9870010700002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</si>
</sst>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" fontId="73" fillId="76" borderId="17" xfId="0" applyNumberFormat="1" applyFont="1" applyFill="1" applyBorder="1" applyAlignment="1" applyProtection="1">
      <alignment horizontal="center"/>
      <protection locked="0"/>
    </xf>
    <xf numFmtId="0" fontId="12" fillId="76" borderId="17" xfId="0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welter@gwb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7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3" sqref="D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501</v>
      </c>
      <c r="D4" s="27">
        <v>44562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502</v>
      </c>
      <c r="D6" s="27">
        <v>44618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675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50">
        <v>9870010700002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66359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677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52" t="s">
        <v>678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500</v>
      </c>
      <c r="D28" s="47" t="str">
        <f>IF(D27&lt;&gt;C28,VLOOKUP(D27,$C$29:$D$48,2,FALSE),C28)</f>
        <v>GWBS Netzgesellschaft</v>
      </c>
      <c r="E28" s="38"/>
      <c r="F28" s="11"/>
      <c r="G28" s="2"/>
    </row>
    <row r="29" spans="1:15">
      <c r="B29" s="15"/>
      <c r="C29" s="22" t="s">
        <v>394</v>
      </c>
      <c r="D29" s="44" t="s">
        <v>676</v>
      </c>
      <c r="E29" s="40"/>
      <c r="F29" s="11"/>
      <c r="G29" s="2"/>
    </row>
    <row r="30" spans="1:15">
      <c r="B30" s="15"/>
      <c r="C30" s="22" t="s">
        <v>395</v>
      </c>
      <c r="D30" s="44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34" zoomScale="80" zoomScaleNormal="80" workbookViewId="0">
      <selection activeCell="D25" sqref="D2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 xml:space="preserve">GWBS Netzgesellschaft mbH 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GWBS Netzgesellschaft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351">
        <f>Netzbetreiber!$D$11</f>
        <v>9870010700002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44618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6" t="s">
        <v>618</v>
      </c>
      <c r="I11" s="276" t="s">
        <v>619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655</v>
      </c>
      <c r="D13" s="370" t="s">
        <v>679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367</v>
      </c>
      <c r="D15" s="48" t="s">
        <v>258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576</v>
      </c>
      <c r="I16" s="275" t="s">
        <v>487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488</v>
      </c>
      <c r="I17" s="275" t="s">
        <v>489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615</v>
      </c>
      <c r="D19" s="48" t="s">
        <v>611</v>
      </c>
      <c r="E19" s="15"/>
      <c r="H19" s="272" t="s">
        <v>611</v>
      </c>
      <c r="I19" s="272" t="s">
        <v>612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613</v>
      </c>
      <c r="E20" s="15"/>
      <c r="H20" s="272" t="s">
        <v>614</v>
      </c>
      <c r="I20" s="8" t="s">
        <v>610</v>
      </c>
      <c r="J20" s="8"/>
      <c r="K20" s="8"/>
      <c r="L20" s="273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2" t="s">
        <v>613</v>
      </c>
      <c r="I21" s="272" t="s">
        <v>620</v>
      </c>
      <c r="J21" s="8"/>
      <c r="K21" s="8"/>
      <c r="L21" s="275" t="s">
        <v>621</v>
      </c>
      <c r="M21" s="275" t="s">
        <v>623</v>
      </c>
      <c r="N21" s="275" t="s">
        <v>622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579</v>
      </c>
      <c r="D23" s="42" t="s">
        <v>135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624</v>
      </c>
      <c r="D24" s="42" t="s">
        <v>626</v>
      </c>
      <c r="E24" s="15"/>
      <c r="H24" s="308" t="s">
        <v>625</v>
      </c>
      <c r="I24" s="274" t="s">
        <v>626</v>
      </c>
      <c r="J24" s="274" t="s">
        <v>627</v>
      </c>
      <c r="K24" s="272"/>
      <c r="L24" s="273"/>
    </row>
    <row r="25" spans="2:16" ht="15" customHeight="1">
      <c r="B25" s="22"/>
      <c r="C25" s="15" t="str">
        <f>HLOOKUP(D24,H24:J25,2,0)</f>
        <v xml:space="preserve">=&gt; Q(Allokation)  =  Q(Synth.) × F(kor);    F(kor) = </v>
      </c>
      <c r="D25" s="368">
        <v>0.95</v>
      </c>
      <c r="E25" s="15"/>
      <c r="H25" s="275" t="s">
        <v>628</v>
      </c>
      <c r="I25" s="275" t="s">
        <v>629</v>
      </c>
      <c r="J25" s="275" t="s">
        <v>630</v>
      </c>
      <c r="K25" s="272"/>
      <c r="L25" s="273"/>
    </row>
    <row r="26" spans="2:16" ht="15" customHeight="1">
      <c r="B26" s="22"/>
      <c r="C26" s="15"/>
      <c r="D26" s="309"/>
      <c r="E26" s="15"/>
      <c r="H26" s="275" t="s">
        <v>631</v>
      </c>
      <c r="I26" s="275" t="s">
        <v>632</v>
      </c>
      <c r="J26" s="275" t="s">
        <v>633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369</v>
      </c>
      <c r="C28" s="6" t="s">
        <v>578</v>
      </c>
      <c r="D28" s="369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634</v>
      </c>
      <c r="I29" s="275" t="s">
        <v>635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636</v>
      </c>
      <c r="I30" s="272" t="s">
        <v>631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492</v>
      </c>
      <c r="C32" s="24" t="s">
        <v>494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72"/>
      <c r="J34" s="272"/>
      <c r="K34" s="272"/>
      <c r="L34" s="272"/>
      <c r="M34" s="273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551</v>
      </c>
      <c r="C37" s="5" t="s">
        <v>365</v>
      </c>
      <c r="D37" s="36">
        <v>500</v>
      </c>
      <c r="E37" s="15" t="s">
        <v>542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9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44" t="s">
        <v>676</v>
      </c>
    </row>
    <row r="46" spans="2:39" ht="18" customHeight="1">
      <c r="C46" s="22" t="s">
        <v>589</v>
      </c>
      <c r="D46" s="44"/>
    </row>
    <row r="47" spans="2:39" ht="18" customHeight="1">
      <c r="C47" s="22" t="s">
        <v>590</v>
      </c>
      <c r="D47" s="44"/>
    </row>
    <row r="48" spans="2:39" ht="18" customHeight="1">
      <c r="C48" s="22" t="s">
        <v>591</v>
      </c>
      <c r="D48" s="44"/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6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675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351">
        <v>9870010700002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1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 t="str">
        <f>INDEX('SLP-Verfahren'!D45:D59,'SLP-Temp-Gebiet #01'!F10)</f>
        <v>GWBS Netzgesellschaft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586</v>
      </c>
      <c r="D13" s="353"/>
      <c r="E13" s="353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446</v>
      </c>
      <c r="D14" s="354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4" t="s">
        <v>386</v>
      </c>
      <c r="D15" s="354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518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524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526</v>
      </c>
      <c r="D21" s="153" t="s">
        <v>516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521</v>
      </c>
      <c r="D24" s="188"/>
      <c r="E24" s="156" t="s">
        <v>661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515</v>
      </c>
      <c r="D25" s="188"/>
      <c r="E25" s="160">
        <v>6510704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657</v>
      </c>
      <c r="F26" s="156" t="s">
        <v>504</v>
      </c>
      <c r="G26" s="156" t="s">
        <v>504</v>
      </c>
      <c r="H26" s="156" t="s">
        <v>504</v>
      </c>
      <c r="I26" s="156" t="s">
        <v>504</v>
      </c>
      <c r="J26" s="156" t="s">
        <v>504</v>
      </c>
      <c r="K26" s="156" t="s">
        <v>504</v>
      </c>
      <c r="L26" s="156" t="s">
        <v>504</v>
      </c>
      <c r="M26" s="156" t="s">
        <v>504</v>
      </c>
      <c r="N26" s="156" t="s">
        <v>504</v>
      </c>
      <c r="O26" s="185" t="s">
        <v>143</v>
      </c>
      <c r="Q26" s="211"/>
      <c r="R26" s="209" t="s">
        <v>504</v>
      </c>
      <c r="S26" s="209" t="s">
        <v>657</v>
      </c>
      <c r="T26" s="209" t="s">
        <v>658</v>
      </c>
      <c r="U26" s="209" t="s">
        <v>505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6"/>
      <c r="C27" s="347" t="s">
        <v>656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98700107000026510704B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1"/>
      <c r="R27" s="209" t="s">
        <v>504</v>
      </c>
      <c r="S27" s="209" t="s">
        <v>505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520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257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527</v>
      </c>
      <c r="D32" s="186" t="s">
        <v>256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534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3"/>
      <c r="C35" s="187" t="s">
        <v>449</v>
      </c>
      <c r="D35" s="153" t="s">
        <v>448</v>
      </c>
      <c r="E35" s="156" t="s">
        <v>512</v>
      </c>
      <c r="F35" s="156" t="s">
        <v>512</v>
      </c>
      <c r="G35" s="156" t="s">
        <v>512</v>
      </c>
      <c r="H35" s="156" t="s">
        <v>512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512</v>
      </c>
      <c r="S35" s="67" t="s">
        <v>513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607</v>
      </c>
      <c r="D36" s="153" t="s">
        <v>608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606</v>
      </c>
      <c r="J36" s="156" t="s">
        <v>606</v>
      </c>
      <c r="K36" s="156" t="s">
        <v>606</v>
      </c>
      <c r="L36" s="156" t="s">
        <v>606</v>
      </c>
      <c r="M36" s="156" t="s">
        <v>606</v>
      </c>
      <c r="N36" s="156" t="s">
        <v>606</v>
      </c>
      <c r="O36" s="185" t="s">
        <v>143</v>
      </c>
      <c r="Q36" s="211"/>
      <c r="R36" s="67" t="s">
        <v>606</v>
      </c>
      <c r="S36" s="67" t="s">
        <v>609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441</v>
      </c>
      <c r="D37" s="119" t="s">
        <v>539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268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348</v>
      </c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531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536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537</v>
      </c>
      <c r="D47" s="201" t="s">
        <v>535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>
      <c r="B48" s="193"/>
      <c r="C48" s="200" t="s">
        <v>347</v>
      </c>
      <c r="D48" s="201" t="s">
        <v>535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361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580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544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519</v>
      </c>
      <c r="D55" s="180" t="s">
        <v>514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526</v>
      </c>
      <c r="D56" s="153" t="s">
        <v>516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538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56" t="str">
        <f>E24</f>
        <v>Dillingen/Saar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515</v>
      </c>
      <c r="D60" s="188"/>
      <c r="E60" s="160">
        <f>E25</f>
        <v>6510704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Individuelle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520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257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527</v>
      </c>
      <c r="D66" s="186" t="s">
        <v>256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534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607</v>
      </c>
      <c r="D70" s="153" t="s">
        <v>608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441</v>
      </c>
      <c r="D71" s="119" t="s">
        <v>539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5" t="s">
        <v>581</v>
      </c>
      <c r="D73" s="355"/>
      <c r="E73" s="355"/>
      <c r="F73" s="355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2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586</v>
      </c>
      <c r="D13" s="353"/>
      <c r="E13" s="353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446</v>
      </c>
      <c r="D14" s="354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4" t="s">
        <v>386</v>
      </c>
      <c r="D15" s="354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 t="s">
        <v>529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516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515</v>
      </c>
      <c r="D25" s="188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3"/>
      <c r="C34" s="187" t="s">
        <v>449</v>
      </c>
      <c r="D34" s="153" t="s">
        <v>448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5" t="s">
        <v>143</v>
      </c>
      <c r="Q35" s="211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441</v>
      </c>
      <c r="D36" s="119" t="s">
        <v>539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348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361</v>
      </c>
      <c r="K46" s="198"/>
      <c r="L46" s="198"/>
      <c r="M46" s="198"/>
      <c r="N46" s="198"/>
      <c r="O46" s="199"/>
    </row>
    <row r="47" spans="2:28">
      <c r="B47" s="193"/>
      <c r="C47" s="200" t="s">
        <v>347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514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516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515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527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534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441</v>
      </c>
      <c r="D70" s="119" t="s">
        <v>539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5" t="s">
        <v>581</v>
      </c>
      <c r="D72" s="355"/>
      <c r="E72" s="355"/>
      <c r="F72" s="355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I33" sqref="I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 xml:space="preserve">GWBS Netzgesellschaft mbH </v>
      </c>
      <c r="E5" s="130"/>
      <c r="H5" s="88" t="s">
        <v>496</v>
      </c>
      <c r="I5" s="131" t="s">
        <v>499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GWBS Netzgesellschaft</v>
      </c>
      <c r="E6" s="130"/>
      <c r="F6" s="130"/>
      <c r="I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53">
        <f>Netzbetreiber!$D$11</f>
        <v>9870010700002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44618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493</v>
      </c>
      <c r="D10" s="134" t="s">
        <v>148</v>
      </c>
      <c r="E10" s="277" t="s">
        <v>511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5" t="s">
        <v>650</v>
      </c>
    </row>
    <row r="11" spans="2:26" ht="15.75" thickBot="1">
      <c r="B11" s="139" t="s">
        <v>495</v>
      </c>
      <c r="C11" s="140" t="s">
        <v>510</v>
      </c>
      <c r="D11" s="304" t="s">
        <v>249</v>
      </c>
      <c r="E11" s="164" t="s">
        <v>517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GWBS Netzgesellschaft</v>
      </c>
      <c r="D12" s="62" t="s">
        <v>249</v>
      </c>
      <c r="E12" s="165" t="s">
        <v>4</v>
      </c>
      <c r="F12" s="307" t="str">
        <f>VLOOKUP($E12,'BDEW-Standard'!$B$3:$M$94,F$9,0)</f>
        <v>D13</v>
      </c>
      <c r="H12" s="278">
        <f>ROUND(VLOOKUP($E12,'BDEW-Standard'!$B$3:$M$94,H$9,0),7)</f>
        <v>3.0469694999999999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9.6193100000000004E-2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1.0075192723557669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GWBS Netzgesellschaft</v>
      </c>
      <c r="D13" s="62" t="s">
        <v>249</v>
      </c>
      <c r="E13" s="165" t="s">
        <v>585</v>
      </c>
      <c r="F13" s="307" t="str">
        <f>VLOOKUP($E13,'BDEW-Standard'!$B$3:$M$94,F$9,0)</f>
        <v>D23</v>
      </c>
      <c r="H13" s="278">
        <f>ROUND(VLOOKUP($E13,'BDEW-Standard'!$B$3:$M$94,H$9,0),7)</f>
        <v>2.3877617999999998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0.12081939999999999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1.0365184142102302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GWBS Netzgesellschaft</v>
      </c>
      <c r="D14" s="62" t="s">
        <v>249</v>
      </c>
      <c r="E14" s="165" t="s">
        <v>663</v>
      </c>
      <c r="F14" s="307" t="str">
        <f>VLOOKUP($E14,'BDEW-Standard'!$B$3:$M$94,F$9,0)</f>
        <v>BA3</v>
      </c>
      <c r="H14" s="278">
        <f>ROUND(VLOOKUP($E14,'BDEW-Standard'!$B$3:$M$94,H$9,0),7)</f>
        <v>0.62619619999999998</v>
      </c>
      <c r="I14" s="278">
        <f>ROUND(VLOOKUP($E14,'BDEW-Standard'!$B$3:$M$94,I$9,0),7)</f>
        <v>-33</v>
      </c>
      <c r="J14" s="278">
        <f>ROUND(VLOOKUP($E14,'BDEW-Standard'!$B$3:$M$94,J$9,0),7)</f>
        <v>5.7212303000000002</v>
      </c>
      <c r="K14" s="278">
        <f>ROUND(VLOOKUP($E14,'BDEW-Standard'!$B$3:$M$94,K$9,0),7)</f>
        <v>0.78556550000000003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1.0711738317583412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GWBS Netzgesellschaft</v>
      </c>
      <c r="D15" s="62" t="s">
        <v>249</v>
      </c>
      <c r="E15" s="165" t="s">
        <v>673</v>
      </c>
      <c r="F15" s="307" t="str">
        <f>VLOOKUP($E15,'BDEW-Standard'!$B$3:$M$94,F$9,0)</f>
        <v>BD3</v>
      </c>
      <c r="H15" s="278">
        <f>ROUND(VLOOKUP($E15,'BDEW-Standard'!$B$3:$M$94,H$9,0),7)</f>
        <v>2.9177027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0.11519119999999999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1.0656106174494469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GWBS Netzgesellschaft</v>
      </c>
      <c r="D16" s="62" t="s">
        <v>249</v>
      </c>
      <c r="E16" s="165" t="s">
        <v>664</v>
      </c>
      <c r="F16" s="307" t="str">
        <f>VLOOKUP($E16,'BDEW-Standard'!$B$3:$M$94,F$9,0)</f>
        <v>BH3</v>
      </c>
      <c r="H16" s="278">
        <f>ROUND(VLOOKUP($E16,'BDEW-Standard'!$B$3:$M$94,H$9,0),7)</f>
        <v>2.0102471999999998</v>
      </c>
      <c r="I16" s="278">
        <f>ROUND(VLOOKUP($E16,'BDEW-Standard'!$B$3:$M$94,I$9,0),7)</f>
        <v>-35.253212400000002</v>
      </c>
      <c r="J16" s="278">
        <f>ROUND(VLOOKUP($E16,'BDEW-Standard'!$B$3:$M$94,J$9,0),7)</f>
        <v>6.1544406</v>
      </c>
      <c r="K16" s="278">
        <f>ROUND(VLOOKUP($E16,'BDEW-Standard'!$B$3:$M$94,K$9,0),7)</f>
        <v>0.32947409999999999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1.0436896084076008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GWBS Netzgesellschaft</v>
      </c>
      <c r="D17" s="62" t="s">
        <v>249</v>
      </c>
      <c r="E17" s="165" t="s">
        <v>665</v>
      </c>
      <c r="F17" s="307" t="str">
        <f>VLOOKUP($E17,'BDEW-Standard'!$B$3:$M$94,F$9,0)</f>
        <v>GA3</v>
      </c>
      <c r="H17" s="278">
        <f>ROUND(VLOOKUP($E17,'BDEW-Standard'!$B$3:$M$94,H$9,0),7)</f>
        <v>2.2850164999999998</v>
      </c>
      <c r="I17" s="278">
        <f>ROUND(VLOOKUP($E17,'BDEW-Standard'!$B$3:$M$94,I$9,0),7)</f>
        <v>-36.287858399999998</v>
      </c>
      <c r="J17" s="278">
        <f>ROUND(VLOOKUP($E17,'BDEW-Standard'!$B$3:$M$94,J$9,0),7)</f>
        <v>6.5885125999999996</v>
      </c>
      <c r="K17" s="278">
        <f>ROUND(VLOOKUP($E17,'BDEW-Standard'!$B$3:$M$94,K$9,0),7)</f>
        <v>0.31505349999999999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1.0096183914256316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GWBS Netzgesellschaft</v>
      </c>
      <c r="D18" s="62" t="s">
        <v>249</v>
      </c>
      <c r="E18" s="165" t="s">
        <v>666</v>
      </c>
      <c r="F18" s="307" t="str">
        <f>VLOOKUP($E18,'BDEW-Standard'!$B$3:$M$94,F$9,0)</f>
        <v>GB3</v>
      </c>
      <c r="H18" s="278">
        <f>ROUND(VLOOKUP($E18,'BDEW-Standard'!$B$3:$M$94,H$9,0),7)</f>
        <v>3.2572741999999999</v>
      </c>
      <c r="I18" s="278">
        <f>ROUND(VLOOKUP($E18,'BDEW-Standard'!$B$3:$M$94,I$9,0),7)</f>
        <v>-37.5</v>
      </c>
      <c r="J18" s="278">
        <f>ROUND(VLOOKUP($E18,'BDEW-Standard'!$B$3:$M$94,J$9,0),7)</f>
        <v>6.3462148000000003</v>
      </c>
      <c r="K18" s="278">
        <f>ROUND(VLOOKUP($E18,'BDEW-Standard'!$B$3:$M$94,K$9,0),7)</f>
        <v>8.6622699999999997E-2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0.9584556323619029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GWBS Netzgesellschaft</v>
      </c>
      <c r="D19" s="62" t="s">
        <v>249</v>
      </c>
      <c r="E19" s="165" t="s">
        <v>667</v>
      </c>
      <c r="F19" s="307" t="str">
        <f>VLOOKUP($E19,'BDEW-Standard'!$B$3:$M$94,F$9,0)</f>
        <v>HA3</v>
      </c>
      <c r="H19" s="278">
        <f>ROUND(VLOOKUP($E19,'BDEW-Standard'!$B$3:$M$94,H$9,0),7)</f>
        <v>3.5811213999999998</v>
      </c>
      <c r="I19" s="278">
        <f>ROUND(VLOOKUP($E19,'BDEW-Standard'!$B$3:$M$94,I$9,0),7)</f>
        <v>-36.965006500000001</v>
      </c>
      <c r="J19" s="278">
        <f>ROUND(VLOOKUP($E19,'BDEW-Standard'!$B$3:$M$94,J$9,0),7)</f>
        <v>7.2256947</v>
      </c>
      <c r="K19" s="278">
        <f>ROUND(VLOOKUP($E19,'BDEW-Standard'!$B$3:$M$94,K$9,0),7)</f>
        <v>4.4841600000000002E-2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0.97852945357176691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GWBS Netzgesellschaft</v>
      </c>
      <c r="D20" s="62" t="s">
        <v>249</v>
      </c>
      <c r="E20" s="165" t="s">
        <v>674</v>
      </c>
      <c r="F20" s="307" t="str">
        <f>VLOOKUP($E20,'BDEW-Standard'!$B$3:$M$94,F$9,0)</f>
        <v>HD3</v>
      </c>
      <c r="H20" s="278">
        <f>ROUND(VLOOKUP($E20,'BDEW-Standard'!$B$3:$M$94,H$9,0),7)</f>
        <v>2.5792510000000002</v>
      </c>
      <c r="I20" s="278">
        <f>ROUND(VLOOKUP($E20,'BDEW-Standard'!$B$3:$M$94,I$9,0),7)</f>
        <v>-35.681614400000001</v>
      </c>
      <c r="J20" s="278">
        <f>ROUND(VLOOKUP($E20,'BDEW-Standard'!$B$3:$M$94,J$9,0),7)</f>
        <v>6.6857975999999999</v>
      </c>
      <c r="K20" s="278">
        <f>ROUND(VLOOKUP($E20,'BDEW-Standard'!$B$3:$M$94,K$9,0),7)</f>
        <v>0.19955410000000001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1.0393994293439688</v>
      </c>
      <c r="R20" s="281">
        <f>ROUND(VLOOKUP(MID($E20,4,3),'Wochentag F(WT)'!$B$7:$J$22,R$9,0),4)</f>
        <v>1.03</v>
      </c>
      <c r="S20" s="281">
        <f>ROUND(VLOOKUP(MID($E20,4,3),'Wochentag F(WT)'!$B$7:$J$22,S$9,0),4)</f>
        <v>1.03</v>
      </c>
      <c r="T20" s="281">
        <f>ROUND(VLOOKUP(MID($E20,4,3),'Wochentag F(WT)'!$B$7:$J$22,T$9,0),4)</f>
        <v>1.02</v>
      </c>
      <c r="U20" s="281">
        <f>ROUND(VLOOKUP(MID($E20,4,3),'Wochentag F(WT)'!$B$7:$J$22,U$9,0),4)</f>
        <v>1.03</v>
      </c>
      <c r="V20" s="281">
        <f>ROUND(VLOOKUP(MID($E20,4,3),'Wochentag F(WT)'!$B$7:$J$22,V$9,0),4)</f>
        <v>1.01</v>
      </c>
      <c r="W20" s="281">
        <f>ROUND(VLOOKUP(MID($E20,4,3),'Wochentag F(WT)'!$B$7:$J$22,W$9,0),4)</f>
        <v>0.93</v>
      </c>
      <c r="X20" s="282">
        <f t="shared" si="2"/>
        <v>0.95000000000000018</v>
      </c>
      <c r="Y20" s="303"/>
      <c r="Z20" s="212"/>
    </row>
    <row r="21" spans="2:26" s="143" customFormat="1">
      <c r="B21" s="144">
        <v>10</v>
      </c>
      <c r="C21" s="145" t="str">
        <f t="shared" si="0"/>
        <v>GWBS Netzgesellschaft</v>
      </c>
      <c r="D21" s="62" t="s">
        <v>249</v>
      </c>
      <c r="E21" s="165" t="s">
        <v>668</v>
      </c>
      <c r="F21" s="307" t="str">
        <f>VLOOKUP($E21,'BDEW-Standard'!$B$3:$M$94,F$9,0)</f>
        <v>KO3</v>
      </c>
      <c r="H21" s="278">
        <f>ROUND(VLOOKUP($E21,'BDEW-Standard'!$B$3:$M$94,H$9,0),7)</f>
        <v>2.7172288</v>
      </c>
      <c r="I21" s="278">
        <f>ROUND(VLOOKUP($E21,'BDEW-Standard'!$B$3:$M$94,I$9,0),7)</f>
        <v>-35.141256300000002</v>
      </c>
      <c r="J21" s="278">
        <f>ROUND(VLOOKUP($E21,'BDEW-Standard'!$B$3:$M$94,J$9,0),7)</f>
        <v>7.1303394999999998</v>
      </c>
      <c r="K21" s="278">
        <f>ROUND(VLOOKUP($E21,'BDEW-Standard'!$B$3:$M$94,K$9,0),7)</f>
        <v>0.14184720000000001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1.0630299199876638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GWBS Netzgesellschaft</v>
      </c>
      <c r="D22" s="62" t="s">
        <v>249</v>
      </c>
      <c r="E22" s="165" t="s">
        <v>669</v>
      </c>
      <c r="F22" s="307" t="str">
        <f>VLOOKUP($E22,'BDEW-Standard'!$B$3:$M$94,F$9,0)</f>
        <v>MF3</v>
      </c>
      <c r="H22" s="278">
        <f>ROUND(VLOOKUP($E22,'BDEW-Standard'!$B$3:$M$94,H$9,0),7)</f>
        <v>2.3877617999999998</v>
      </c>
      <c r="I22" s="278">
        <f>ROUND(VLOOKUP($E22,'BDEW-Standard'!$B$3:$M$94,I$9,0),7)</f>
        <v>-34.721360500000003</v>
      </c>
      <c r="J22" s="278">
        <f>ROUND(VLOOKUP($E22,'BDEW-Standard'!$B$3:$M$94,J$9,0),7)</f>
        <v>5.8164303999999998</v>
      </c>
      <c r="K22" s="278">
        <f>ROUND(VLOOKUP($E22,'BDEW-Standard'!$B$3:$M$94,K$9,0),7)</f>
        <v>0.12081939999999999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1.0365184142102302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GWBS Netzgesellschaft</v>
      </c>
      <c r="D23" s="62" t="s">
        <v>249</v>
      </c>
      <c r="E23" s="165" t="s">
        <v>670</v>
      </c>
      <c r="F23" s="307" t="str">
        <f>VLOOKUP($E23,'BDEW-Standard'!$B$3:$M$94,F$9,0)</f>
        <v>MK3</v>
      </c>
      <c r="H23" s="278">
        <f>ROUND(VLOOKUP($E23,'BDEW-Standard'!$B$3:$M$94,H$9,0),7)</f>
        <v>2.7882424000000001</v>
      </c>
      <c r="I23" s="278">
        <f>ROUND(VLOOKUP($E23,'BDEW-Standard'!$B$3:$M$94,I$9,0),7)</f>
        <v>-34.880612999999997</v>
      </c>
      <c r="J23" s="278">
        <f>ROUND(VLOOKUP($E23,'BDEW-Standard'!$B$3:$M$94,J$9,0),7)</f>
        <v>6.5951899000000003</v>
      </c>
      <c r="K23" s="278">
        <f>ROUND(VLOOKUP($E23,'BDEW-Standard'!$B$3:$M$94,K$9,0),7)</f>
        <v>5.4032900000000002E-2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1.0622306107520199</v>
      </c>
      <c r="R23" s="281">
        <f>ROUND(VLOOKUP(MID($E23,4,3),'Wochentag F(WT)'!$B$7:$J$22,R$9,0),4)</f>
        <v>1.0699000000000001</v>
      </c>
      <c r="S23" s="281">
        <f>ROUND(VLOOKUP(MID($E23,4,3),'Wochentag F(WT)'!$B$7:$J$22,S$9,0),4)</f>
        <v>1.0365</v>
      </c>
      <c r="T23" s="281">
        <f>ROUND(VLOOKUP(MID($E23,4,3),'Wochentag F(WT)'!$B$7:$J$22,T$9,0),4)</f>
        <v>0.99329999999999996</v>
      </c>
      <c r="U23" s="281">
        <f>ROUND(VLOOKUP(MID($E23,4,3),'Wochentag F(WT)'!$B$7:$J$22,U$9,0),4)</f>
        <v>0.99480000000000002</v>
      </c>
      <c r="V23" s="281">
        <f>ROUND(VLOOKUP(MID($E23,4,3),'Wochentag F(WT)'!$B$7:$J$22,V$9,0),4)</f>
        <v>1.0659000000000001</v>
      </c>
      <c r="W23" s="281">
        <f>ROUND(VLOOKUP(MID($E23,4,3),'Wochentag F(WT)'!$B$7:$J$22,W$9,0),4)</f>
        <v>0.93620000000000003</v>
      </c>
      <c r="X23" s="282">
        <f t="shared" si="2"/>
        <v>0.90339999999999954</v>
      </c>
      <c r="Y23" s="303"/>
      <c r="Z23" s="212"/>
    </row>
    <row r="24" spans="2:26" s="143" customFormat="1">
      <c r="B24" s="144">
        <v>13</v>
      </c>
      <c r="C24" s="145" t="str">
        <f t="shared" si="0"/>
        <v>GWBS Netzgesellschaft</v>
      </c>
      <c r="D24" s="62" t="s">
        <v>249</v>
      </c>
      <c r="E24" s="165" t="s">
        <v>671</v>
      </c>
      <c r="F24" s="307" t="str">
        <f>VLOOKUP($E24,'BDEW-Standard'!$B$3:$M$94,F$9,0)</f>
        <v>PD3</v>
      </c>
      <c r="H24" s="278">
        <f>ROUND(VLOOKUP($E24,'BDEW-Standard'!$B$3:$M$94,H$9,0),7)</f>
        <v>3.2</v>
      </c>
      <c r="I24" s="278">
        <f>ROUND(VLOOKUP($E24,'BDEW-Standard'!$B$3:$M$94,I$9,0),7)</f>
        <v>-35.799999999999997</v>
      </c>
      <c r="J24" s="278">
        <f>ROUND(VLOOKUP($E24,'BDEW-Standard'!$B$3:$M$94,J$9,0),7)</f>
        <v>8.4</v>
      </c>
      <c r="K24" s="278">
        <f>ROUND(VLOOKUP($E24,'BDEW-Standard'!$B$3:$M$94,K$9,0),7)</f>
        <v>9.3848600000000004E-2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0.99106250024889242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GWBS Netzgesellschaft</v>
      </c>
      <c r="D25" s="62" t="s">
        <v>249</v>
      </c>
      <c r="E25" s="165" t="s">
        <v>672</v>
      </c>
      <c r="F25" s="307" t="str">
        <f>VLOOKUP($E25,'BDEW-Standard'!$B$3:$M$94,F$9,0)</f>
        <v>WA3</v>
      </c>
      <c r="H25" s="278">
        <f>ROUND(VLOOKUP($E25,'BDEW-Standard'!$B$3:$M$94,H$9,0),7)</f>
        <v>0.76572899999999999</v>
      </c>
      <c r="I25" s="278">
        <f>ROUND(VLOOKUP($E25,'BDEW-Standard'!$B$3:$M$94,I$9,0),7)</f>
        <v>-36.023791199999998</v>
      </c>
      <c r="J25" s="278">
        <f>ROUND(VLOOKUP($E25,'BDEW-Standard'!$B$3:$M$94,J$9,0),7)</f>
        <v>4.8662747</v>
      </c>
      <c r="K25" s="278">
        <f>ROUND(VLOOKUP($E25,'BDEW-Standard'!$B$3:$M$94,K$9,0),7)</f>
        <v>0.80494250000000001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1.0804258319686442</v>
      </c>
      <c r="R25" s="281">
        <f>ROUND(VLOOKUP(MID($E25,4,3),'Wochentag F(WT)'!$B$7:$J$22,R$9,0),4)</f>
        <v>1.2457</v>
      </c>
      <c r="S25" s="281">
        <f>ROUND(VLOOKUP(MID($E25,4,3),'Wochentag F(WT)'!$B$7:$J$22,S$9,0),4)</f>
        <v>1.2615000000000001</v>
      </c>
      <c r="T25" s="281">
        <f>ROUND(VLOOKUP(MID($E25,4,3),'Wochentag F(WT)'!$B$7:$J$22,T$9,0),4)</f>
        <v>1.2706999999999999</v>
      </c>
      <c r="U25" s="281">
        <f>ROUND(VLOOKUP(MID($E25,4,3),'Wochentag F(WT)'!$B$7:$J$22,U$9,0),4)</f>
        <v>1.2430000000000001</v>
      </c>
      <c r="V25" s="281">
        <f>ROUND(VLOOKUP(MID($E25,4,3),'Wochentag F(WT)'!$B$7:$J$22,V$9,0),4)</f>
        <v>1.1275999999999999</v>
      </c>
      <c r="W25" s="281">
        <f>ROUND(VLOOKUP(MID($E25,4,3),'Wochentag F(WT)'!$B$7:$J$22,W$9,0),4)</f>
        <v>0.38769999999999999</v>
      </c>
      <c r="X25" s="282">
        <f t="shared" si="2"/>
        <v>0.46379999999999999</v>
      </c>
      <c r="Y25" s="303"/>
      <c r="Z25" s="212"/>
    </row>
    <row r="26" spans="2:26" s="143" customFormat="1">
      <c r="B26" s="144">
        <v>15</v>
      </c>
      <c r="C26" s="145" t="str">
        <f t="shared" si="0"/>
        <v>GWBS Netzgesellschaft</v>
      </c>
      <c r="D26" s="62" t="s">
        <v>249</v>
      </c>
      <c r="E26" s="165" t="s">
        <v>5</v>
      </c>
      <c r="F26" s="307" t="str">
        <f>VLOOKUP($E26,'BDEW-Standard'!$B$3:$M$94,F$9,0)</f>
        <v>HK3</v>
      </c>
      <c r="H26" s="278">
        <f>ROUND(VLOOKUP($E26,'BDEW-Standard'!$B$3:$M$94,H$9,0),7)</f>
        <v>0.40409319999999999</v>
      </c>
      <c r="I26" s="278">
        <f>ROUND(VLOOKUP($E26,'BDEW-Standard'!$B$3:$M$94,I$9,0),7)</f>
        <v>-24.439296800000001</v>
      </c>
      <c r="J26" s="278">
        <f>ROUND(VLOOKUP($E26,'BDEW-Standard'!$B$3:$M$94,J$9,0),7)</f>
        <v>6.5718174999999999</v>
      </c>
      <c r="K26" s="278">
        <f>ROUND(VLOOKUP($E26,'BDEW-Standard'!$B$3:$M$94,K$9,0),7)</f>
        <v>0.71077100000000004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1.0561214000512988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si="2"/>
        <v>1</v>
      </c>
      <c r="Y26" s="303"/>
      <c r="Z26" s="212"/>
    </row>
    <row r="27" spans="2:26" s="143" customFormat="1">
      <c r="B27" s="144">
        <v>16</v>
      </c>
      <c r="C27" s="145" t="str">
        <f t="shared" si="0"/>
        <v>GWBS Netzgesellschaft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GWBS Netzgesellschaft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GWBS Netzgesellschaft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GWBS Netzgesellschaft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GWBS Netzgesellschaft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GWBS Netzgesellschaft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GWBS Netzgesellschaft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GWBS Netzgesellschaft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GWBS Netzgesellschaft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GWBS Netzgesellschaft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GWBS Netzgesellschaft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GWBS Netzgesellschaft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GWBS Netzgesellschaft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GWBS Netzgesellschaft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GWBS Netzgesellschaft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345</v>
      </c>
      <c r="B1" s="216">
        <v>42173</v>
      </c>
      <c r="D1" s="131" t="s">
        <v>452</v>
      </c>
      <c r="F1" s="217" t="s">
        <v>546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 xml:space="preserve">GWBS Netzgesellschaft mbH 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GWBS Netzgesellschaft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>
        <f>Netzbetreiber!$D$11</f>
        <v>9870010700002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44618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6" t="s">
        <v>456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61" t="s">
        <v>584</v>
      </c>
      <c r="C10" s="362"/>
      <c r="D10" s="94">
        <v>2</v>
      </c>
      <c r="E10" s="95" t="str">
        <f>IF(ISERROR(HLOOKUP(E$11,$M$9:$AD$35,$D10,0)),"",HLOOKUP(E$11,$M$9:$AD$35,$D10,0))</f>
        <v/>
      </c>
      <c r="F10" s="359" t="s">
        <v>396</v>
      </c>
      <c r="G10" s="359"/>
      <c r="H10" s="359"/>
      <c r="I10" s="359"/>
      <c r="J10" s="359"/>
      <c r="K10" s="359"/>
      <c r="L10" s="360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3">
        <f>MIN(SUMPRODUCT($M$11:$AD$11,M12:AD12),1)</f>
        <v>1</v>
      </c>
      <c r="F12" s="31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4">
        <f t="shared" ref="E13:E35" si="0">MIN(SUMPRODUCT($M$11:$AD$11,M13:AD13),1)</f>
        <v>0</v>
      </c>
      <c r="F13" s="31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4">
        <f t="shared" si="0"/>
        <v>0</v>
      </c>
      <c r="F14" s="31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4">
        <f t="shared" si="0"/>
        <v>0</v>
      </c>
      <c r="F15" s="31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4">
        <f t="shared" si="0"/>
        <v>1</v>
      </c>
      <c r="F16" s="31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4">
        <f t="shared" si="0"/>
        <v>1</v>
      </c>
      <c r="F17" s="31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4">
        <f t="shared" si="0"/>
        <v>1</v>
      </c>
      <c r="F18" s="31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8" t="s">
        <v>653</v>
      </c>
      <c r="C19" s="339"/>
      <c r="D19" s="111"/>
      <c r="E19" s="314">
        <v>1</v>
      </c>
      <c r="F19" s="31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4">
        <f t="shared" si="0"/>
        <v>1</v>
      </c>
      <c r="F20" s="311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651</v>
      </c>
      <c r="C21" s="117"/>
      <c r="D21" s="111">
        <v>12</v>
      </c>
      <c r="E21" s="314">
        <f t="shared" si="0"/>
        <v>1</v>
      </c>
      <c r="F21" s="311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4">
        <f t="shared" si="0"/>
        <v>1</v>
      </c>
      <c r="F22" s="311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4">
        <f t="shared" si="0"/>
        <v>1</v>
      </c>
      <c r="F23" s="311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4">
        <f t="shared" si="0"/>
        <v>0</v>
      </c>
      <c r="F24" s="311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4">
        <f t="shared" si="0"/>
        <v>0</v>
      </c>
      <c r="F25" s="31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4">
        <f t="shared" si="0"/>
        <v>0</v>
      </c>
      <c r="F26" s="31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8" t="s">
        <v>652</v>
      </c>
      <c r="C27" s="339"/>
      <c r="D27" s="111"/>
      <c r="E27" s="314">
        <v>1</v>
      </c>
      <c r="F27" s="31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4">
        <f t="shared" si="0"/>
        <v>1</v>
      </c>
      <c r="F28" s="31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5" customFormat="1" ht="1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2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9"/>
    </row>
    <row r="30" spans="2:30" ht="15">
      <c r="B30" s="116" t="s">
        <v>407</v>
      </c>
      <c r="C30" s="117"/>
      <c r="D30" s="111">
        <v>20</v>
      </c>
      <c r="E30" s="314">
        <f t="shared" si="0"/>
        <v>0</v>
      </c>
      <c r="F30" s="31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4">
        <f t="shared" si="0"/>
        <v>0</v>
      </c>
      <c r="F31" s="311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4">
        <f t="shared" si="0"/>
        <v>0</v>
      </c>
      <c r="F32" s="311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4">
        <f t="shared" si="0"/>
        <v>1</v>
      </c>
      <c r="F33" s="311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4">
        <f t="shared" si="0"/>
        <v>1</v>
      </c>
      <c r="F34" s="311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5">
        <f t="shared" si="0"/>
        <v>0</v>
      </c>
      <c r="F35" s="312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453</v>
      </c>
      <c r="B1" s="128"/>
      <c r="D1" s="217" t="s">
        <v>546</v>
      </c>
    </row>
    <row r="2" spans="1:16">
      <c r="A2" s="237"/>
      <c r="B2" s="236" t="s">
        <v>454</v>
      </c>
    </row>
    <row r="3" spans="1:16" ht="20.100000000000001" customHeight="1">
      <c r="A3" s="363" t="s">
        <v>250</v>
      </c>
      <c r="B3" s="238" t="s">
        <v>87</v>
      </c>
      <c r="C3" s="239"/>
      <c r="D3" s="365" t="s">
        <v>455</v>
      </c>
      <c r="E3" s="366"/>
      <c r="F3" s="366"/>
      <c r="G3" s="366"/>
      <c r="H3" s="366"/>
      <c r="I3" s="366"/>
      <c r="J3" s="367"/>
      <c r="K3" s="240"/>
      <c r="L3" s="240"/>
      <c r="M3" s="240"/>
      <c r="N3" s="240"/>
      <c r="O3" s="241"/>
      <c r="P3" s="240"/>
    </row>
    <row r="4" spans="1:16" ht="20.100000000000001" customHeight="1">
      <c r="A4" s="364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366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366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www.w3.org/XML/1998/namespace"/>
    <ds:schemaRef ds:uri="http://purl.org/dc/elements/1.1/"/>
    <ds:schemaRef ds:uri="818b9f00-f4e5-4488-840e-6084e0f1107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Klaus, Markus</cp:lastModifiedBy>
  <cp:lastPrinted>2015-03-20T22:59:10Z</cp:lastPrinted>
  <dcterms:created xsi:type="dcterms:W3CDTF">2015-01-15T05:25:41Z</dcterms:created>
  <dcterms:modified xsi:type="dcterms:W3CDTF">2022-03-01T09:40:44Z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